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1475" windowHeight="267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I30" i="1" l="1"/>
  <c r="E45" i="1"/>
  <c r="F41" i="1"/>
  <c r="E65" i="1" l="1"/>
  <c r="E59" i="1"/>
  <c r="E55" i="1"/>
  <c r="E56" i="1"/>
  <c r="E57" i="1"/>
  <c r="E58" i="1"/>
  <c r="E60" i="1"/>
  <c r="E61" i="1"/>
  <c r="E62" i="1"/>
  <c r="E63" i="1"/>
  <c r="E64" i="1"/>
  <c r="D54" i="1"/>
  <c r="F54" i="1"/>
  <c r="G54" i="1" s="1"/>
  <c r="B45" i="1"/>
  <c r="B60" i="1" s="1"/>
  <c r="F60" i="1" s="1"/>
  <c r="B44" i="1"/>
  <c r="B57" i="1" l="1"/>
  <c r="F57" i="1" s="1"/>
  <c r="B56" i="1"/>
  <c r="F56" i="1" s="1"/>
  <c r="B55" i="1"/>
  <c r="F55" i="1" s="1"/>
  <c r="B64" i="1"/>
  <c r="F64" i="1" s="1"/>
  <c r="B63" i="1"/>
  <c r="F63" i="1" s="1"/>
  <c r="B62" i="1"/>
  <c r="F62" i="1" s="1"/>
  <c r="B59" i="1"/>
  <c r="F59" i="1" s="1"/>
  <c r="B58" i="1"/>
  <c r="B61" i="1"/>
  <c r="F61" i="1" s="1"/>
  <c r="B46" i="1"/>
  <c r="F58" i="1"/>
  <c r="B69" i="1" l="1"/>
  <c r="B47" i="1"/>
  <c r="B48" i="1"/>
  <c r="B49" i="1"/>
  <c r="B65" i="1"/>
  <c r="G55" i="1"/>
  <c r="B68" i="1"/>
  <c r="E42" i="1"/>
  <c r="E40" i="1"/>
  <c r="E39" i="1"/>
  <c r="E41" i="1" s="1"/>
  <c r="E36" i="1"/>
  <c r="E35" i="1"/>
  <c r="E34" i="1"/>
  <c r="E33" i="1"/>
  <c r="E28" i="1"/>
  <c r="E29" i="1"/>
  <c r="E30" i="1"/>
  <c r="E31" i="1"/>
  <c r="E32" i="1"/>
  <c r="T26" i="1"/>
  <c r="T25" i="1"/>
  <c r="T14" i="1"/>
  <c r="T15" i="1"/>
  <c r="T16" i="1"/>
  <c r="T17" i="1"/>
  <c r="T18" i="1"/>
  <c r="T19" i="1"/>
  <c r="T20" i="1"/>
  <c r="T21" i="1"/>
  <c r="T22" i="1"/>
  <c r="T23" i="1"/>
  <c r="T24" i="1"/>
  <c r="T13" i="1"/>
  <c r="S14" i="1"/>
  <c r="S16" i="1"/>
  <c r="S17" i="1"/>
  <c r="S18" i="1"/>
  <c r="S19" i="1"/>
  <c r="S20" i="1"/>
  <c r="S21" i="1"/>
  <c r="S22" i="1"/>
  <c r="S23" i="1"/>
  <c r="S24" i="1"/>
  <c r="S13" i="1"/>
  <c r="Q14" i="1"/>
  <c r="Q16" i="1"/>
  <c r="Q17" i="1"/>
  <c r="Q18" i="1"/>
  <c r="Q19" i="1"/>
  <c r="Q20" i="1"/>
  <c r="Q21" i="1"/>
  <c r="Q22" i="1"/>
  <c r="Q23" i="1"/>
  <c r="Q24" i="1"/>
  <c r="Q13" i="1"/>
  <c r="O14" i="1"/>
  <c r="O15" i="1"/>
  <c r="Q15" i="1" s="1"/>
  <c r="S15" i="1" s="1"/>
  <c r="O16" i="1"/>
  <c r="O17" i="1"/>
  <c r="O18" i="1"/>
  <c r="O19" i="1"/>
  <c r="O20" i="1"/>
  <c r="O21" i="1"/>
  <c r="O22" i="1"/>
  <c r="O23" i="1"/>
  <c r="O24" i="1"/>
  <c r="O13" i="1"/>
  <c r="G56" i="1" l="1"/>
  <c r="B70" i="1"/>
  <c r="F40" i="1"/>
  <c r="F30" i="1"/>
  <c r="F33" i="1"/>
  <c r="F34" i="1"/>
  <c r="F27" i="1"/>
  <c r="F35" i="1"/>
  <c r="F28" i="1"/>
  <c r="F36" i="1"/>
  <c r="F29" i="1"/>
  <c r="F37" i="1"/>
  <c r="F38" i="1"/>
  <c r="F31" i="1"/>
  <c r="F39" i="1"/>
  <c r="F32" i="1"/>
  <c r="K38" i="1"/>
  <c r="M38" i="1" s="1"/>
  <c r="O38" i="1" s="1"/>
  <c r="Q38" i="1" s="1"/>
  <c r="R38" i="1" s="1"/>
  <c r="K39" i="1"/>
  <c r="M39" i="1" s="1"/>
  <c r="O39" i="1" s="1"/>
  <c r="Q39" i="1" s="1"/>
  <c r="K40" i="1"/>
  <c r="M40" i="1" s="1"/>
  <c r="O40" i="1" s="1"/>
  <c r="Q40" i="1" s="1"/>
  <c r="R40" i="1" s="1"/>
  <c r="K41" i="1"/>
  <c r="K37" i="1"/>
  <c r="M37" i="1" s="1"/>
  <c r="O37" i="1" s="1"/>
  <c r="Q37" i="1" s="1"/>
  <c r="M41" i="1"/>
  <c r="O41" i="1" s="1"/>
  <c r="Q41" i="1" s="1"/>
  <c r="R41" i="1" s="1"/>
  <c r="E27" i="1"/>
  <c r="I32" i="1"/>
  <c r="I29" i="1"/>
  <c r="H23" i="1"/>
  <c r="H21" i="1"/>
  <c r="E21" i="1"/>
  <c r="G57" i="1" l="1"/>
  <c r="G58" i="1" s="1"/>
  <c r="G59" i="1" s="1"/>
  <c r="G60" i="1" s="1"/>
  <c r="G61" i="1" s="1"/>
  <c r="G62" i="1" s="1"/>
  <c r="G63" i="1" s="1"/>
  <c r="G64" i="1" s="1"/>
  <c r="C71" i="1"/>
  <c r="B71" i="1"/>
  <c r="R37" i="1"/>
  <c r="Q42" i="1"/>
  <c r="R39" i="1"/>
  <c r="I33" i="1"/>
  <c r="I34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6" i="1"/>
  <c r="D22" i="1"/>
  <c r="E23" i="1"/>
  <c r="F15" i="1" s="1"/>
  <c r="E19" i="1"/>
  <c r="E20" i="1"/>
  <c r="E18" i="1"/>
  <c r="E17" i="1"/>
  <c r="E16" i="1"/>
  <c r="E15" i="1"/>
  <c r="E14" i="1"/>
  <c r="E13" i="1"/>
  <c r="E12" i="1"/>
  <c r="E11" i="1"/>
  <c r="E10" i="1"/>
  <c r="E9" i="1"/>
  <c r="E7" i="1"/>
  <c r="E8" i="1"/>
  <c r="E6" i="1"/>
  <c r="E5" i="1"/>
  <c r="F21" i="1" l="1"/>
  <c r="F13" i="1"/>
  <c r="F12" i="1"/>
  <c r="F7" i="1"/>
  <c r="F6" i="1"/>
  <c r="F20" i="1"/>
  <c r="F14" i="1"/>
  <c r="F19" i="1"/>
  <c r="F11" i="1"/>
  <c r="F5" i="1"/>
  <c r="F18" i="1"/>
  <c r="F22" i="1"/>
  <c r="F10" i="1"/>
  <c r="F17" i="1"/>
  <c r="F9" i="1"/>
  <c r="F16" i="1"/>
  <c r="F8" i="1"/>
  <c r="F23" i="1" l="1"/>
</calcChain>
</file>

<file path=xl/sharedStrings.xml><?xml version="1.0" encoding="utf-8"?>
<sst xmlns="http://schemas.openxmlformats.org/spreadsheetml/2006/main" count="209" uniqueCount="113">
  <si>
    <t>Projeto de criação de tambaqui em tanques-rede</t>
  </si>
  <si>
    <t>Custo de implantação</t>
  </si>
  <si>
    <t>Item</t>
  </si>
  <si>
    <t>Unidade</t>
  </si>
  <si>
    <t>Quantidade</t>
  </si>
  <si>
    <t>Valor unitário (R$)</t>
  </si>
  <si>
    <t>Valor total (R$)</t>
  </si>
  <si>
    <t>%</t>
  </si>
  <si>
    <t>Vida útil (anos)</t>
  </si>
  <si>
    <t>Depreciação anual (R$)</t>
  </si>
  <si>
    <t>Terreno</t>
  </si>
  <si>
    <t>unidade</t>
  </si>
  <si>
    <t>m2</t>
  </si>
  <si>
    <t>Trapiche de madeira</t>
  </si>
  <si>
    <t>Edificação de alvenaria</t>
  </si>
  <si>
    <t>Tanques-rede</t>
  </si>
  <si>
    <t>verba</t>
  </si>
  <si>
    <t>-</t>
  </si>
  <si>
    <t>Motor de popa (20 hp)</t>
  </si>
  <si>
    <t>Embarcação de alumínio (6 m)</t>
  </si>
  <si>
    <t>Cabo de nylon</t>
  </si>
  <si>
    <t>Puçá</t>
  </si>
  <si>
    <t>Balança</t>
  </si>
  <si>
    <t>Caixa d'água</t>
  </si>
  <si>
    <t>Tela berçário</t>
  </si>
  <si>
    <t>Bóia sinalizadora</t>
  </si>
  <si>
    <t>Poita de concreto</t>
  </si>
  <si>
    <t>Caixa de transporte de peixes</t>
  </si>
  <si>
    <t>Outros custos</t>
  </si>
  <si>
    <t>Balsa flutuante</t>
  </si>
  <si>
    <t>Canoa a remo</t>
  </si>
  <si>
    <t>Total</t>
  </si>
  <si>
    <t>m</t>
  </si>
  <si>
    <t>Custo de produção</t>
  </si>
  <si>
    <t>Formas jovens</t>
  </si>
  <si>
    <t>Ração inicial 55% PB</t>
  </si>
  <si>
    <t>Ração crescimento 42% PB</t>
  </si>
  <si>
    <t>Ração crescimento 36%PB</t>
  </si>
  <si>
    <t>Ração terminação 28%PB</t>
  </si>
  <si>
    <t>Mão de obra permanente</t>
  </si>
  <si>
    <t>Encargos sociais</t>
  </si>
  <si>
    <t>Mão de obra eventual</t>
  </si>
  <si>
    <t>Combustível</t>
  </si>
  <si>
    <t>Manutenção</t>
  </si>
  <si>
    <t>Custo operacional efetivo (R$)</t>
  </si>
  <si>
    <t>Custo operacional total (R$)</t>
  </si>
  <si>
    <t>Ração crescimento 32%PB</t>
  </si>
  <si>
    <t>Gerador de energia elétrica</t>
  </si>
  <si>
    <t>Número de tanques-rede</t>
  </si>
  <si>
    <t>Número de alevinos</t>
  </si>
  <si>
    <t>Volume útil dos tanques-rede (m3)</t>
  </si>
  <si>
    <t>Peso médio final dos peixes (kg)</t>
  </si>
  <si>
    <t>Produção anual do empreendimento (kg)</t>
  </si>
  <si>
    <t>Produção anual por tanque-rede (kg)</t>
  </si>
  <si>
    <t>Produtividade média (kg/m3/ano)</t>
  </si>
  <si>
    <t>Número total de indíviduos</t>
  </si>
  <si>
    <t>Mortalidade estimada de indíviduos</t>
  </si>
  <si>
    <t>milheiro</t>
  </si>
  <si>
    <t>Fase</t>
  </si>
  <si>
    <t>Inicial</t>
  </si>
  <si>
    <t>Crescimento 1</t>
  </si>
  <si>
    <t>Crescimento 2</t>
  </si>
  <si>
    <t>Crescimento 3</t>
  </si>
  <si>
    <t>Terminação</t>
  </si>
  <si>
    <t>Peso inicial (g)</t>
  </si>
  <si>
    <t>Peso final (g)</t>
  </si>
  <si>
    <t>Ganho de peso (g)</t>
  </si>
  <si>
    <t>Número de indivíduos</t>
  </si>
  <si>
    <t>Biomassa (g)</t>
  </si>
  <si>
    <t>CAA</t>
  </si>
  <si>
    <t>Quantidade de ração por TR (g)</t>
  </si>
  <si>
    <t>Quantidade total de ração (kg)</t>
  </si>
  <si>
    <t>Número de sacos de ração (25 kg)</t>
  </si>
  <si>
    <t>Mês</t>
  </si>
  <si>
    <t>Tipo de ração</t>
  </si>
  <si>
    <t>Número de indivíduos por TR</t>
  </si>
  <si>
    <t>Peso médio (g)</t>
  </si>
  <si>
    <t>Biomassa (kg)</t>
  </si>
  <si>
    <t>Taxa de alimentação (%)</t>
  </si>
  <si>
    <t>Frequência alimentar</t>
  </si>
  <si>
    <t>Quantidade diária de ração (kg)</t>
  </si>
  <si>
    <t>Quantidade de ração por trato (kg)</t>
  </si>
  <si>
    <t>Quantidade mensal de ração (kg)</t>
  </si>
  <si>
    <t>salário</t>
  </si>
  <si>
    <t>homem/dia</t>
  </si>
  <si>
    <t>litros</t>
  </si>
  <si>
    <t>Custo operacional total (R$/kg)</t>
  </si>
  <si>
    <t>Preço de venda (R$/kg)</t>
  </si>
  <si>
    <t>Investimento total (R$)</t>
  </si>
  <si>
    <t>Receita bruta (R$)</t>
  </si>
  <si>
    <t>Lucro operacional (R$)</t>
  </si>
  <si>
    <t>Lucro operacional mensal (R$)</t>
  </si>
  <si>
    <t>Margem bruta (%)</t>
  </si>
  <si>
    <t>Índice de lucratividade (%)</t>
  </si>
  <si>
    <t>saco de 25 kg</t>
  </si>
  <si>
    <t>Fluxo de caixa</t>
  </si>
  <si>
    <t>Ano</t>
  </si>
  <si>
    <t>Entrada (R$)</t>
  </si>
  <si>
    <t>Saída (R$)</t>
  </si>
  <si>
    <t>Fluxo líquido (R$)</t>
  </si>
  <si>
    <t>Saldo (R$)</t>
  </si>
  <si>
    <t>Receita</t>
  </si>
  <si>
    <t>Valor residual</t>
  </si>
  <si>
    <t>Investimento</t>
  </si>
  <si>
    <t>Custo operacional</t>
  </si>
  <si>
    <t>Taxa Mínima de Atratividade</t>
  </si>
  <si>
    <t>Valor Presente Líquido (R$)</t>
  </si>
  <si>
    <t>Taxa Interna de Retorno (%)</t>
  </si>
  <si>
    <t>Relação Benefício Custo</t>
  </si>
  <si>
    <t>Período de Retorno do Capital</t>
  </si>
  <si>
    <t>anos</t>
  </si>
  <si>
    <t>meses</t>
  </si>
  <si>
    <t>Ponto de equilíbrio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</si>
</sst>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9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2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topLeftCell="A3" zoomScale="70" zoomScaleNormal="70" workbookViewId="0">
      <selection sqref="A1:H1"/>
    </sheetView>
  </sheetViews>
  <sheetFormatPr defaultRowHeight="15" x14ac:dyDescent="0.25"/>
  <cols>
    <col min="1" max="1" width="31.7109375" customWidth="1"/>
    <col min="2" max="2" width="27.7109375" customWidth="1"/>
    <col min="3" max="3" width="18.140625" customWidth="1"/>
    <col min="4" max="4" width="24.85546875" customWidth="1"/>
    <col min="5" max="5" width="24.5703125" customWidth="1"/>
    <col min="6" max="6" width="23.7109375" customWidth="1"/>
    <col min="7" max="7" width="16.85546875" customWidth="1"/>
    <col min="8" max="8" width="40.7109375" customWidth="1"/>
    <col min="9" max="9" width="15.28515625" customWidth="1"/>
    <col min="10" max="10" width="14.28515625" customWidth="1"/>
    <col min="11" max="11" width="20" customWidth="1"/>
    <col min="12" max="12" width="22.28515625" customWidth="1"/>
    <col min="13" max="13" width="28.85546875" customWidth="1"/>
    <col min="14" max="14" width="21.85546875" customWidth="1"/>
    <col min="15" max="15" width="32.85546875" customWidth="1"/>
    <col min="16" max="16" width="26.7109375" customWidth="1"/>
    <col min="17" max="17" width="33.7109375" customWidth="1"/>
    <col min="18" max="18" width="35.28515625" customWidth="1"/>
    <col min="19" max="19" width="35.140625" customWidth="1"/>
    <col min="20" max="20" width="33" customWidth="1"/>
  </cols>
  <sheetData>
    <row r="1" spans="1:20" x14ac:dyDescent="0.25">
      <c r="A1" s="24" t="s">
        <v>0</v>
      </c>
      <c r="B1" s="24"/>
      <c r="C1" s="24"/>
      <c r="D1" s="24"/>
      <c r="E1" s="24"/>
      <c r="F1" s="24"/>
      <c r="G1" s="24"/>
      <c r="H1" s="24"/>
    </row>
    <row r="3" spans="1:20" x14ac:dyDescent="0.25">
      <c r="A3" s="25" t="s">
        <v>1</v>
      </c>
      <c r="B3" s="25"/>
      <c r="C3" s="25"/>
      <c r="D3" s="25"/>
      <c r="E3" s="25"/>
      <c r="F3" s="25"/>
      <c r="G3" s="25"/>
      <c r="H3" s="25"/>
    </row>
    <row r="4" spans="1:2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spans="1:20" x14ac:dyDescent="0.25">
      <c r="A5" s="2" t="s">
        <v>10</v>
      </c>
      <c r="B5" s="2" t="s">
        <v>11</v>
      </c>
      <c r="C5" s="2">
        <v>1</v>
      </c>
      <c r="D5" s="3">
        <v>10000</v>
      </c>
      <c r="E5" s="3">
        <f>C5*D5</f>
        <v>10000</v>
      </c>
      <c r="F5" s="4">
        <f>(E5*100)/E$23</f>
        <v>4.1488611376177236</v>
      </c>
      <c r="G5" s="2" t="s">
        <v>17</v>
      </c>
      <c r="H5" s="2" t="s">
        <v>17</v>
      </c>
    </row>
    <row r="6" spans="1:20" x14ac:dyDescent="0.25">
      <c r="A6" s="2" t="s">
        <v>14</v>
      </c>
      <c r="B6" s="2" t="s">
        <v>12</v>
      </c>
      <c r="C6" s="2">
        <v>20</v>
      </c>
      <c r="D6" s="3">
        <v>1750</v>
      </c>
      <c r="E6" s="3">
        <f>C6*D6</f>
        <v>35000</v>
      </c>
      <c r="F6" s="4">
        <f t="shared" ref="F6:F22" si="0">(E6*100)/E$23</f>
        <v>14.521013981662033</v>
      </c>
      <c r="G6" s="2">
        <v>25</v>
      </c>
      <c r="H6" s="3">
        <f>E6/G6</f>
        <v>1400</v>
      </c>
    </row>
    <row r="7" spans="1:20" x14ac:dyDescent="0.25">
      <c r="A7" s="2" t="s">
        <v>13</v>
      </c>
      <c r="B7" s="2" t="s">
        <v>16</v>
      </c>
      <c r="C7" s="2" t="s">
        <v>17</v>
      </c>
      <c r="D7" s="3">
        <v>10000</v>
      </c>
      <c r="E7" s="3">
        <f>D7</f>
        <v>10000</v>
      </c>
      <c r="F7" s="4">
        <f t="shared" si="0"/>
        <v>4.1488611376177236</v>
      </c>
      <c r="G7" s="2">
        <v>10</v>
      </c>
      <c r="H7" s="3">
        <f t="shared" ref="H7:H21" si="1">E7/G7</f>
        <v>1000</v>
      </c>
    </row>
    <row r="8" spans="1:20" x14ac:dyDescent="0.25">
      <c r="A8" s="2" t="s">
        <v>15</v>
      </c>
      <c r="B8" s="2" t="s">
        <v>11</v>
      </c>
      <c r="C8" s="2">
        <v>50</v>
      </c>
      <c r="D8" s="3">
        <v>2500</v>
      </c>
      <c r="E8" s="3">
        <f t="shared" ref="E8:E18" si="2">C8*D8</f>
        <v>125000</v>
      </c>
      <c r="F8" s="4">
        <f t="shared" si="0"/>
        <v>51.860764220221547</v>
      </c>
      <c r="G8" s="2">
        <v>10</v>
      </c>
      <c r="H8" s="3">
        <f t="shared" si="1"/>
        <v>12500</v>
      </c>
    </row>
    <row r="9" spans="1:20" x14ac:dyDescent="0.25">
      <c r="A9" s="2" t="s">
        <v>19</v>
      </c>
      <c r="B9" s="2" t="s">
        <v>11</v>
      </c>
      <c r="C9" s="2">
        <v>1</v>
      </c>
      <c r="D9" s="3">
        <v>5000</v>
      </c>
      <c r="E9" s="3">
        <f t="shared" si="2"/>
        <v>5000</v>
      </c>
      <c r="F9" s="4">
        <f t="shared" si="0"/>
        <v>2.0744305688088618</v>
      </c>
      <c r="G9" s="2">
        <v>25</v>
      </c>
      <c r="H9" s="3">
        <f t="shared" si="1"/>
        <v>200</v>
      </c>
    </row>
    <row r="10" spans="1:20" x14ac:dyDescent="0.25">
      <c r="A10" s="2" t="s">
        <v>18</v>
      </c>
      <c r="B10" s="2" t="s">
        <v>11</v>
      </c>
      <c r="C10" s="2">
        <v>1</v>
      </c>
      <c r="D10" s="3">
        <v>15000</v>
      </c>
      <c r="E10" s="3">
        <f t="shared" si="2"/>
        <v>15000</v>
      </c>
      <c r="F10" s="4">
        <f t="shared" si="0"/>
        <v>6.2232917064265862</v>
      </c>
      <c r="G10" s="2">
        <v>10</v>
      </c>
      <c r="H10" s="3">
        <f t="shared" si="1"/>
        <v>1500</v>
      </c>
    </row>
    <row r="11" spans="1:20" x14ac:dyDescent="0.25">
      <c r="A11" s="2" t="s">
        <v>26</v>
      </c>
      <c r="B11" s="2" t="s">
        <v>11</v>
      </c>
      <c r="C11" s="2">
        <v>14</v>
      </c>
      <c r="D11" s="3">
        <v>500</v>
      </c>
      <c r="E11" s="3">
        <f t="shared" si="2"/>
        <v>7000</v>
      </c>
      <c r="F11" s="4">
        <f t="shared" si="0"/>
        <v>2.9042027963324069</v>
      </c>
      <c r="G11" s="2">
        <v>25</v>
      </c>
      <c r="H11" s="3">
        <f t="shared" si="1"/>
        <v>280</v>
      </c>
    </row>
    <row r="12" spans="1:20" x14ac:dyDescent="0.25">
      <c r="A12" s="2" t="s">
        <v>20</v>
      </c>
      <c r="B12" s="2" t="s">
        <v>32</v>
      </c>
      <c r="C12" s="2">
        <v>500</v>
      </c>
      <c r="D12" s="3">
        <v>2</v>
      </c>
      <c r="E12" s="3">
        <f t="shared" si="2"/>
        <v>1000</v>
      </c>
      <c r="F12" s="4">
        <f t="shared" si="0"/>
        <v>0.41488611376177237</v>
      </c>
      <c r="G12" s="2">
        <v>5</v>
      </c>
      <c r="H12" s="3">
        <f t="shared" si="1"/>
        <v>200</v>
      </c>
      <c r="K12" s="6" t="s">
        <v>73</v>
      </c>
      <c r="L12" s="6" t="s">
        <v>74</v>
      </c>
      <c r="M12" s="9" t="s">
        <v>75</v>
      </c>
      <c r="N12" s="6" t="s">
        <v>76</v>
      </c>
      <c r="O12" s="6" t="s">
        <v>77</v>
      </c>
      <c r="P12" s="6" t="s">
        <v>78</v>
      </c>
      <c r="Q12" s="6" t="s">
        <v>80</v>
      </c>
      <c r="R12" s="6" t="s">
        <v>79</v>
      </c>
      <c r="S12" s="6" t="s">
        <v>81</v>
      </c>
      <c r="T12" s="6" t="s">
        <v>82</v>
      </c>
    </row>
    <row r="13" spans="1:20" x14ac:dyDescent="0.25">
      <c r="A13" s="2" t="s">
        <v>25</v>
      </c>
      <c r="B13" s="2" t="s">
        <v>11</v>
      </c>
      <c r="C13" s="2">
        <v>9</v>
      </c>
      <c r="D13" s="3">
        <v>80</v>
      </c>
      <c r="E13" s="3">
        <f t="shared" si="2"/>
        <v>720</v>
      </c>
      <c r="F13" s="4">
        <f t="shared" si="0"/>
        <v>0.29871800190847614</v>
      </c>
      <c r="G13" s="2">
        <v>10</v>
      </c>
      <c r="H13" s="3">
        <f t="shared" si="1"/>
        <v>72</v>
      </c>
      <c r="K13" s="6">
        <v>1</v>
      </c>
      <c r="L13" s="6" t="s">
        <v>59</v>
      </c>
      <c r="M13" s="6">
        <v>450</v>
      </c>
      <c r="N13" s="6">
        <v>10</v>
      </c>
      <c r="O13" s="6">
        <f>(M13*N13)/1000</f>
        <v>4.5</v>
      </c>
      <c r="P13" s="6">
        <v>20</v>
      </c>
      <c r="Q13" s="3">
        <f>(P13*O13)/100</f>
        <v>0.9</v>
      </c>
      <c r="R13" s="6">
        <v>4</v>
      </c>
      <c r="S13" s="3">
        <f>Q13/R13</f>
        <v>0.22500000000000001</v>
      </c>
      <c r="T13" s="6">
        <f>Q13*30</f>
        <v>27</v>
      </c>
    </row>
    <row r="14" spans="1:20" x14ac:dyDescent="0.25">
      <c r="A14" s="2" t="s">
        <v>21</v>
      </c>
      <c r="B14" s="2" t="s">
        <v>11</v>
      </c>
      <c r="C14" s="2">
        <v>3</v>
      </c>
      <c r="D14" s="3">
        <v>70</v>
      </c>
      <c r="E14" s="3">
        <f t="shared" si="2"/>
        <v>210</v>
      </c>
      <c r="F14" s="4">
        <f t="shared" si="0"/>
        <v>8.71260838899722E-2</v>
      </c>
      <c r="G14" s="2">
        <v>5</v>
      </c>
      <c r="H14" s="3">
        <f t="shared" si="1"/>
        <v>42</v>
      </c>
      <c r="K14" s="6">
        <v>2</v>
      </c>
      <c r="L14" s="6" t="s">
        <v>59</v>
      </c>
      <c r="M14" s="6">
        <v>450</v>
      </c>
      <c r="N14" s="6">
        <v>30</v>
      </c>
      <c r="O14" s="6">
        <f t="shared" ref="O14:O24" si="3">(M14*N14)/1000</f>
        <v>13.5</v>
      </c>
      <c r="P14" s="6">
        <v>10</v>
      </c>
      <c r="Q14" s="3">
        <f t="shared" ref="Q14:Q24" si="4">(P14*O14)/100</f>
        <v>1.35</v>
      </c>
      <c r="R14" s="6">
        <v>3</v>
      </c>
      <c r="S14" s="3">
        <f t="shared" ref="S14:S24" si="5">Q14/R14</f>
        <v>0.45</v>
      </c>
      <c r="T14" s="6">
        <f t="shared" ref="T14:T24" si="6">Q14*30</f>
        <v>40.5</v>
      </c>
    </row>
    <row r="15" spans="1:20" x14ac:dyDescent="0.25">
      <c r="A15" s="2" t="s">
        <v>22</v>
      </c>
      <c r="B15" s="2" t="s">
        <v>11</v>
      </c>
      <c r="C15" s="2">
        <v>2</v>
      </c>
      <c r="D15" s="3">
        <v>100</v>
      </c>
      <c r="E15" s="3">
        <f t="shared" si="2"/>
        <v>200</v>
      </c>
      <c r="F15" s="4">
        <f t="shared" si="0"/>
        <v>8.2977222752354474E-2</v>
      </c>
      <c r="G15" s="2">
        <v>5</v>
      </c>
      <c r="H15" s="3">
        <f t="shared" si="1"/>
        <v>40</v>
      </c>
      <c r="K15" s="6">
        <v>3</v>
      </c>
      <c r="L15" s="6" t="s">
        <v>60</v>
      </c>
      <c r="M15" s="6">
        <v>450</v>
      </c>
      <c r="N15" s="6">
        <v>70</v>
      </c>
      <c r="O15" s="6">
        <f t="shared" si="3"/>
        <v>31.5</v>
      </c>
      <c r="P15" s="6">
        <v>5</v>
      </c>
      <c r="Q15" s="3">
        <f t="shared" si="4"/>
        <v>1.575</v>
      </c>
      <c r="R15" s="6">
        <v>3</v>
      </c>
      <c r="S15" s="3">
        <f t="shared" si="5"/>
        <v>0.52500000000000002</v>
      </c>
      <c r="T15" s="6">
        <f t="shared" si="6"/>
        <v>47.25</v>
      </c>
    </row>
    <row r="16" spans="1:20" x14ac:dyDescent="0.25">
      <c r="A16" s="2" t="s">
        <v>24</v>
      </c>
      <c r="B16" s="2" t="s">
        <v>11</v>
      </c>
      <c r="C16" s="2">
        <v>20</v>
      </c>
      <c r="D16" s="3">
        <v>50</v>
      </c>
      <c r="E16" s="3">
        <f t="shared" si="2"/>
        <v>1000</v>
      </c>
      <c r="F16" s="4">
        <f t="shared" si="0"/>
        <v>0.41488611376177237</v>
      </c>
      <c r="G16" s="2">
        <v>10</v>
      </c>
      <c r="H16" s="3">
        <f t="shared" si="1"/>
        <v>100</v>
      </c>
      <c r="K16" s="6">
        <v>4</v>
      </c>
      <c r="L16" s="6" t="s">
        <v>60</v>
      </c>
      <c r="M16" s="6">
        <v>450</v>
      </c>
      <c r="N16" s="6">
        <v>100</v>
      </c>
      <c r="O16" s="6">
        <f t="shared" si="3"/>
        <v>45</v>
      </c>
      <c r="P16" s="6">
        <v>4</v>
      </c>
      <c r="Q16" s="3">
        <f t="shared" si="4"/>
        <v>1.8</v>
      </c>
      <c r="R16" s="6">
        <v>2</v>
      </c>
      <c r="S16" s="3">
        <f t="shared" si="5"/>
        <v>0.9</v>
      </c>
      <c r="T16" s="6">
        <f t="shared" si="6"/>
        <v>54</v>
      </c>
    </row>
    <row r="17" spans="1:20" x14ac:dyDescent="0.25">
      <c r="A17" s="2" t="s">
        <v>23</v>
      </c>
      <c r="B17" s="2" t="s">
        <v>11</v>
      </c>
      <c r="C17" s="2">
        <v>2</v>
      </c>
      <c r="D17" s="3">
        <v>300</v>
      </c>
      <c r="E17" s="3">
        <f t="shared" si="2"/>
        <v>600</v>
      </c>
      <c r="F17" s="4">
        <f t="shared" si="0"/>
        <v>0.24893166825706345</v>
      </c>
      <c r="G17" s="2">
        <v>10</v>
      </c>
      <c r="H17" s="3">
        <f t="shared" si="1"/>
        <v>60</v>
      </c>
      <c r="K17" s="6">
        <v>5</v>
      </c>
      <c r="L17" s="6" t="s">
        <v>61</v>
      </c>
      <c r="M17" s="6">
        <v>450</v>
      </c>
      <c r="N17" s="6">
        <v>300</v>
      </c>
      <c r="O17" s="6">
        <f t="shared" si="3"/>
        <v>135</v>
      </c>
      <c r="P17" s="6">
        <v>3</v>
      </c>
      <c r="Q17" s="3">
        <f t="shared" si="4"/>
        <v>4.05</v>
      </c>
      <c r="R17" s="6">
        <v>2</v>
      </c>
      <c r="S17" s="3">
        <f t="shared" si="5"/>
        <v>2.0249999999999999</v>
      </c>
      <c r="T17" s="6">
        <f t="shared" si="6"/>
        <v>121.5</v>
      </c>
    </row>
    <row r="18" spans="1:20" x14ac:dyDescent="0.25">
      <c r="A18" s="2" t="s">
        <v>27</v>
      </c>
      <c r="B18" s="2" t="s">
        <v>11</v>
      </c>
      <c r="C18" s="2">
        <v>2</v>
      </c>
      <c r="D18" s="3">
        <v>1200</v>
      </c>
      <c r="E18" s="3">
        <f t="shared" si="2"/>
        <v>2400</v>
      </c>
      <c r="F18" s="4">
        <f t="shared" si="0"/>
        <v>0.99572667302825379</v>
      </c>
      <c r="G18" s="2">
        <v>10</v>
      </c>
      <c r="H18" s="3">
        <f t="shared" si="1"/>
        <v>240</v>
      </c>
      <c r="K18" s="6">
        <v>6</v>
      </c>
      <c r="L18" s="6" t="s">
        <v>62</v>
      </c>
      <c r="M18" s="6">
        <v>450</v>
      </c>
      <c r="N18" s="6">
        <v>500</v>
      </c>
      <c r="O18" s="6">
        <f t="shared" si="3"/>
        <v>225</v>
      </c>
      <c r="P18" s="6">
        <v>2</v>
      </c>
      <c r="Q18" s="3">
        <f t="shared" si="4"/>
        <v>4.5</v>
      </c>
      <c r="R18" s="6">
        <v>2</v>
      </c>
      <c r="S18" s="3">
        <f t="shared" si="5"/>
        <v>2.25</v>
      </c>
      <c r="T18" s="6">
        <f t="shared" si="6"/>
        <v>135</v>
      </c>
    </row>
    <row r="19" spans="1:20" x14ac:dyDescent="0.25">
      <c r="A19" s="2" t="s">
        <v>29</v>
      </c>
      <c r="B19" s="2" t="s">
        <v>16</v>
      </c>
      <c r="C19" s="2" t="s">
        <v>17</v>
      </c>
      <c r="D19" s="3">
        <v>15000</v>
      </c>
      <c r="E19" s="3">
        <f>D19</f>
        <v>15000</v>
      </c>
      <c r="F19" s="4">
        <f t="shared" si="0"/>
        <v>6.2232917064265862</v>
      </c>
      <c r="G19" s="2">
        <v>10</v>
      </c>
      <c r="H19" s="3">
        <f t="shared" si="1"/>
        <v>1500</v>
      </c>
      <c r="K19" s="6">
        <v>7</v>
      </c>
      <c r="L19" s="6" t="s">
        <v>63</v>
      </c>
      <c r="M19" s="6">
        <v>450</v>
      </c>
      <c r="N19" s="6">
        <v>800</v>
      </c>
      <c r="O19" s="6">
        <f t="shared" si="3"/>
        <v>360</v>
      </c>
      <c r="P19" s="6">
        <v>1</v>
      </c>
      <c r="Q19" s="3">
        <f t="shared" si="4"/>
        <v>3.6</v>
      </c>
      <c r="R19" s="6">
        <v>2</v>
      </c>
      <c r="S19" s="3">
        <f t="shared" si="5"/>
        <v>1.8</v>
      </c>
      <c r="T19" s="6">
        <f t="shared" si="6"/>
        <v>108</v>
      </c>
    </row>
    <row r="20" spans="1:20" x14ac:dyDescent="0.25">
      <c r="A20" s="2" t="s">
        <v>30</v>
      </c>
      <c r="B20" s="2" t="s">
        <v>11</v>
      </c>
      <c r="C20" s="2">
        <v>1</v>
      </c>
      <c r="D20" s="3">
        <v>700</v>
      </c>
      <c r="E20" s="3">
        <f>C20*D20</f>
        <v>700</v>
      </c>
      <c r="F20" s="4">
        <f t="shared" si="0"/>
        <v>0.29042027963324069</v>
      </c>
      <c r="G20" s="2">
        <v>5</v>
      </c>
      <c r="H20" s="3">
        <f t="shared" si="1"/>
        <v>140</v>
      </c>
      <c r="K20" s="6">
        <v>8</v>
      </c>
      <c r="L20" s="6" t="s">
        <v>63</v>
      </c>
      <c r="M20" s="6">
        <v>450</v>
      </c>
      <c r="N20" s="6">
        <v>1200</v>
      </c>
      <c r="O20" s="6">
        <f t="shared" si="3"/>
        <v>540</v>
      </c>
      <c r="P20" s="6">
        <v>1</v>
      </c>
      <c r="Q20" s="3">
        <f t="shared" si="4"/>
        <v>5.4</v>
      </c>
      <c r="R20" s="6">
        <v>2</v>
      </c>
      <c r="S20" s="3">
        <f t="shared" si="5"/>
        <v>2.7</v>
      </c>
      <c r="T20" s="6">
        <f t="shared" si="6"/>
        <v>162</v>
      </c>
    </row>
    <row r="21" spans="1:20" x14ac:dyDescent="0.25">
      <c r="A21" s="2" t="s">
        <v>47</v>
      </c>
      <c r="B21" s="2" t="s">
        <v>11</v>
      </c>
      <c r="C21" s="2">
        <v>1</v>
      </c>
      <c r="D21" s="3">
        <v>5000</v>
      </c>
      <c r="E21" s="3">
        <f>C21*D21</f>
        <v>5000</v>
      </c>
      <c r="F21" s="4">
        <f t="shared" si="0"/>
        <v>2.0744305688088618</v>
      </c>
      <c r="G21" s="2">
        <v>5</v>
      </c>
      <c r="H21" s="3">
        <f t="shared" si="1"/>
        <v>1000</v>
      </c>
      <c r="K21" s="6">
        <v>9</v>
      </c>
      <c r="L21" s="6" t="s">
        <v>63</v>
      </c>
      <c r="M21" s="6">
        <v>450</v>
      </c>
      <c r="N21" s="6">
        <v>1400</v>
      </c>
      <c r="O21" s="6">
        <f t="shared" si="3"/>
        <v>630</v>
      </c>
      <c r="P21" s="6">
        <v>1</v>
      </c>
      <c r="Q21" s="3">
        <f t="shared" si="4"/>
        <v>6.3</v>
      </c>
      <c r="R21" s="6">
        <v>2</v>
      </c>
      <c r="S21" s="3">
        <f t="shared" si="5"/>
        <v>3.15</v>
      </c>
      <c r="T21" s="6">
        <f t="shared" si="6"/>
        <v>189</v>
      </c>
    </row>
    <row r="22" spans="1:20" x14ac:dyDescent="0.25">
      <c r="A22" s="2" t="s">
        <v>28</v>
      </c>
      <c r="B22" s="2" t="s">
        <v>16</v>
      </c>
      <c r="C22" s="2" t="s">
        <v>17</v>
      </c>
      <c r="D22" s="3">
        <f>E22</f>
        <v>7200</v>
      </c>
      <c r="E22" s="3">
        <v>7200</v>
      </c>
      <c r="F22" s="4">
        <f t="shared" si="0"/>
        <v>2.9871800190847613</v>
      </c>
      <c r="G22" s="2" t="s">
        <v>17</v>
      </c>
      <c r="H22" s="2" t="s">
        <v>17</v>
      </c>
      <c r="K22" s="6">
        <v>10</v>
      </c>
      <c r="L22" s="6" t="s">
        <v>63</v>
      </c>
      <c r="M22" s="6">
        <v>450</v>
      </c>
      <c r="N22" s="6">
        <v>1600</v>
      </c>
      <c r="O22" s="6">
        <f t="shared" si="3"/>
        <v>720</v>
      </c>
      <c r="P22" s="6">
        <v>1</v>
      </c>
      <c r="Q22" s="3">
        <f t="shared" si="4"/>
        <v>7.2</v>
      </c>
      <c r="R22" s="6">
        <v>2</v>
      </c>
      <c r="S22" s="3">
        <f t="shared" si="5"/>
        <v>3.6</v>
      </c>
      <c r="T22" s="6">
        <f t="shared" si="6"/>
        <v>216</v>
      </c>
    </row>
    <row r="23" spans="1:20" x14ac:dyDescent="0.25">
      <c r="A23" s="2" t="s">
        <v>31</v>
      </c>
      <c r="B23" s="2" t="s">
        <v>17</v>
      </c>
      <c r="C23" s="2" t="s">
        <v>17</v>
      </c>
      <c r="D23" s="2" t="s">
        <v>17</v>
      </c>
      <c r="E23" s="3">
        <f>SUM(E5:E22)</f>
        <v>241030</v>
      </c>
      <c r="F23" s="5">
        <f>SUM(F5:F22)</f>
        <v>100.00000000000001</v>
      </c>
      <c r="G23" s="2" t="s">
        <v>17</v>
      </c>
      <c r="H23" s="3">
        <f>SUM(H6:H22)</f>
        <v>20274</v>
      </c>
      <c r="K23" s="6">
        <v>11</v>
      </c>
      <c r="L23" s="6" t="s">
        <v>63</v>
      </c>
      <c r="M23" s="6">
        <v>450</v>
      </c>
      <c r="N23" s="6">
        <v>1800</v>
      </c>
      <c r="O23" s="6">
        <f t="shared" si="3"/>
        <v>810</v>
      </c>
      <c r="P23" s="6">
        <v>1</v>
      </c>
      <c r="Q23" s="3">
        <f t="shared" si="4"/>
        <v>8.1</v>
      </c>
      <c r="R23" s="6">
        <v>2</v>
      </c>
      <c r="S23" s="3">
        <f t="shared" si="5"/>
        <v>4.05</v>
      </c>
      <c r="T23" s="6">
        <f t="shared" si="6"/>
        <v>243</v>
      </c>
    </row>
    <row r="24" spans="1:20" x14ac:dyDescent="0.25">
      <c r="K24" s="6">
        <v>12</v>
      </c>
      <c r="L24" s="6" t="s">
        <v>63</v>
      </c>
      <c r="M24" s="6">
        <v>450</v>
      </c>
      <c r="N24" s="6">
        <v>2000</v>
      </c>
      <c r="O24" s="6">
        <f t="shared" si="3"/>
        <v>900</v>
      </c>
      <c r="P24" s="6">
        <v>1</v>
      </c>
      <c r="Q24" s="3">
        <f t="shared" si="4"/>
        <v>9</v>
      </c>
      <c r="R24" s="6">
        <v>2</v>
      </c>
      <c r="S24" s="3">
        <f t="shared" si="5"/>
        <v>4.5</v>
      </c>
      <c r="T24" s="6">
        <f t="shared" si="6"/>
        <v>270</v>
      </c>
    </row>
    <row r="25" spans="1:20" x14ac:dyDescent="0.25">
      <c r="A25" s="26" t="s">
        <v>33</v>
      </c>
      <c r="B25" s="26"/>
      <c r="C25" s="26"/>
      <c r="D25" s="26"/>
      <c r="E25" s="26"/>
      <c r="F25" s="26"/>
      <c r="T25" s="6">
        <f>SUM(T13:T24)</f>
        <v>1613.25</v>
      </c>
    </row>
    <row r="26" spans="1:20" x14ac:dyDescent="0.25">
      <c r="A26" s="8" t="s">
        <v>2</v>
      </c>
      <c r="B26" s="8" t="s">
        <v>3</v>
      </c>
      <c r="C26" s="6" t="s">
        <v>4</v>
      </c>
      <c r="D26" s="6" t="s">
        <v>5</v>
      </c>
      <c r="E26" s="6" t="s">
        <v>6</v>
      </c>
      <c r="F26" s="6" t="s">
        <v>7</v>
      </c>
      <c r="H26" s="6" t="s">
        <v>48</v>
      </c>
      <c r="I26" s="6">
        <v>50</v>
      </c>
      <c r="T26" s="4">
        <f>T25/O24</f>
        <v>1.7925</v>
      </c>
    </row>
    <row r="27" spans="1:20" x14ac:dyDescent="0.25">
      <c r="A27" s="8" t="s">
        <v>34</v>
      </c>
      <c r="B27" s="8" t="s">
        <v>57</v>
      </c>
      <c r="C27" s="6">
        <v>30</v>
      </c>
      <c r="D27" s="3">
        <v>150</v>
      </c>
      <c r="E27" s="3">
        <f>C27*D27</f>
        <v>4500</v>
      </c>
      <c r="F27" s="4">
        <f>(E27*100)/E$41</f>
        <v>1.6196080548507261</v>
      </c>
      <c r="H27" s="6" t="s">
        <v>50</v>
      </c>
      <c r="I27" s="6">
        <v>18</v>
      </c>
    </row>
    <row r="28" spans="1:20" x14ac:dyDescent="0.25">
      <c r="A28" s="8" t="s">
        <v>35</v>
      </c>
      <c r="B28" s="8" t="s">
        <v>94</v>
      </c>
      <c r="C28" s="6">
        <v>26</v>
      </c>
      <c r="D28" s="3">
        <v>149</v>
      </c>
      <c r="E28" s="3">
        <f t="shared" ref="E28:E33" si="7">C28*D28</f>
        <v>3874</v>
      </c>
      <c r="F28" s="4">
        <f t="shared" ref="F28:F40" si="8">(E28*100)/E$41</f>
        <v>1.3943025787759362</v>
      </c>
      <c r="H28" s="6" t="s">
        <v>54</v>
      </c>
      <c r="I28" s="6">
        <v>50</v>
      </c>
    </row>
    <row r="29" spans="1:20" x14ac:dyDescent="0.25">
      <c r="A29" s="8" t="s">
        <v>36</v>
      </c>
      <c r="B29" s="8" t="s">
        <v>94</v>
      </c>
      <c r="C29" s="6">
        <v>76</v>
      </c>
      <c r="D29" s="3">
        <v>101</v>
      </c>
      <c r="E29" s="3">
        <f t="shared" si="7"/>
        <v>7676</v>
      </c>
      <c r="F29" s="4">
        <f t="shared" si="8"/>
        <v>2.7626914286742608</v>
      </c>
      <c r="H29" s="6" t="s">
        <v>53</v>
      </c>
      <c r="I29" s="6">
        <f>I27*I28</f>
        <v>900</v>
      </c>
    </row>
    <row r="30" spans="1:20" x14ac:dyDescent="0.25">
      <c r="A30" s="8" t="s">
        <v>37</v>
      </c>
      <c r="B30" s="8" t="s">
        <v>94</v>
      </c>
      <c r="C30" s="6">
        <v>252</v>
      </c>
      <c r="D30" s="3">
        <v>74</v>
      </c>
      <c r="E30" s="3">
        <f t="shared" si="7"/>
        <v>18648</v>
      </c>
      <c r="F30" s="4">
        <f t="shared" si="8"/>
        <v>6.7116557793014087</v>
      </c>
      <c r="H30" s="6" t="s">
        <v>52</v>
      </c>
      <c r="I30" s="6">
        <f>I29*I26</f>
        <v>45000</v>
      </c>
    </row>
    <row r="31" spans="1:20" x14ac:dyDescent="0.25">
      <c r="A31" s="8" t="s">
        <v>46</v>
      </c>
      <c r="B31" s="8" t="s">
        <v>94</v>
      </c>
      <c r="C31" s="6">
        <v>288</v>
      </c>
      <c r="D31" s="3">
        <v>70</v>
      </c>
      <c r="E31" s="3">
        <f t="shared" si="7"/>
        <v>20160</v>
      </c>
      <c r="F31" s="4">
        <f t="shared" si="8"/>
        <v>7.2558440857312529</v>
      </c>
      <c r="H31" s="6" t="s">
        <v>51</v>
      </c>
      <c r="I31" s="6">
        <v>2</v>
      </c>
    </row>
    <row r="32" spans="1:20" x14ac:dyDescent="0.25">
      <c r="A32" s="8" t="s">
        <v>38</v>
      </c>
      <c r="B32" s="8" t="s">
        <v>94</v>
      </c>
      <c r="C32" s="6">
        <v>2430</v>
      </c>
      <c r="D32" s="3">
        <v>59</v>
      </c>
      <c r="E32" s="3">
        <f t="shared" si="7"/>
        <v>143370</v>
      </c>
      <c r="F32" s="4">
        <f t="shared" si="8"/>
        <v>51.600712627544134</v>
      </c>
      <c r="H32" s="6" t="s">
        <v>55</v>
      </c>
      <c r="I32" s="6">
        <f>I30/I31</f>
        <v>22500</v>
      </c>
    </row>
    <row r="33" spans="1:18" x14ac:dyDescent="0.25">
      <c r="A33" s="8" t="s">
        <v>39</v>
      </c>
      <c r="B33" s="8" t="s">
        <v>83</v>
      </c>
      <c r="C33" s="6">
        <v>24</v>
      </c>
      <c r="D33" s="3">
        <v>954</v>
      </c>
      <c r="E33" s="3">
        <f t="shared" si="7"/>
        <v>22896</v>
      </c>
      <c r="F33" s="4">
        <f t="shared" si="8"/>
        <v>8.2405657830804948</v>
      </c>
      <c r="H33" s="6" t="s">
        <v>56</v>
      </c>
      <c r="I33" s="6">
        <f>(30*I32)/100</f>
        <v>6750</v>
      </c>
    </row>
    <row r="34" spans="1:18" x14ac:dyDescent="0.25">
      <c r="A34" s="8" t="s">
        <v>40</v>
      </c>
      <c r="B34" s="8" t="s">
        <v>16</v>
      </c>
      <c r="C34" s="6" t="s">
        <v>17</v>
      </c>
      <c r="D34" s="3">
        <v>16027</v>
      </c>
      <c r="E34" s="3">
        <f>D34</f>
        <v>16027</v>
      </c>
      <c r="F34" s="4">
        <f t="shared" si="8"/>
        <v>5.768324065576131</v>
      </c>
      <c r="H34" s="6" t="s">
        <v>49</v>
      </c>
      <c r="I34" s="6">
        <f>SUM(I32:I33)</f>
        <v>29250</v>
      </c>
    </row>
    <row r="35" spans="1:18" x14ac:dyDescent="0.25">
      <c r="A35" s="8" t="s">
        <v>41</v>
      </c>
      <c r="B35" s="8" t="s">
        <v>84</v>
      </c>
      <c r="C35" s="6">
        <v>24</v>
      </c>
      <c r="D35" s="3">
        <v>50</v>
      </c>
      <c r="E35" s="3">
        <f>C35*D35</f>
        <v>1200</v>
      </c>
      <c r="F35" s="4">
        <f t="shared" si="8"/>
        <v>0.43189548129352695</v>
      </c>
    </row>
    <row r="36" spans="1:18" x14ac:dyDescent="0.25">
      <c r="A36" s="8" t="s">
        <v>42</v>
      </c>
      <c r="B36" s="8" t="s">
        <v>85</v>
      </c>
      <c r="C36" s="6">
        <v>600</v>
      </c>
      <c r="D36" s="3">
        <v>4.7</v>
      </c>
      <c r="E36" s="3">
        <f>C36*D36</f>
        <v>2820</v>
      </c>
      <c r="F36" s="4">
        <f t="shared" si="8"/>
        <v>1.0149543810397883</v>
      </c>
      <c r="H36" s="6" t="s">
        <v>58</v>
      </c>
      <c r="I36" s="6" t="s">
        <v>64</v>
      </c>
      <c r="J36" s="6" t="s">
        <v>65</v>
      </c>
      <c r="K36" s="6" t="s">
        <v>66</v>
      </c>
      <c r="L36" s="6" t="s">
        <v>67</v>
      </c>
      <c r="M36" s="6" t="s">
        <v>68</v>
      </c>
      <c r="N36" s="6" t="s">
        <v>69</v>
      </c>
      <c r="O36" s="6" t="s">
        <v>70</v>
      </c>
      <c r="P36" s="6" t="s">
        <v>48</v>
      </c>
      <c r="Q36" s="6" t="s">
        <v>71</v>
      </c>
      <c r="R36" s="6" t="s">
        <v>72</v>
      </c>
    </row>
    <row r="37" spans="1:18" x14ac:dyDescent="0.25">
      <c r="A37" s="8" t="s">
        <v>43</v>
      </c>
      <c r="B37" s="8" t="s">
        <v>16</v>
      </c>
      <c r="C37" s="6" t="s">
        <v>17</v>
      </c>
      <c r="D37" s="3">
        <v>8200</v>
      </c>
      <c r="E37" s="3">
        <v>8200</v>
      </c>
      <c r="F37" s="4">
        <f t="shared" si="8"/>
        <v>2.9512857888391011</v>
      </c>
      <c r="H37" s="6" t="s">
        <v>59</v>
      </c>
      <c r="I37" s="10">
        <v>1</v>
      </c>
      <c r="J37" s="10">
        <v>30</v>
      </c>
      <c r="K37" s="6">
        <f>J37-I37</f>
        <v>29</v>
      </c>
      <c r="L37" s="6">
        <v>450</v>
      </c>
      <c r="M37" s="6">
        <f>K37*L37</f>
        <v>13050</v>
      </c>
      <c r="N37" s="6">
        <v>1</v>
      </c>
      <c r="O37" s="6">
        <f>M37*N37</f>
        <v>13050</v>
      </c>
      <c r="P37" s="6">
        <v>50</v>
      </c>
      <c r="Q37" s="6">
        <f>(O37*P37)/1000</f>
        <v>652.5</v>
      </c>
      <c r="R37" s="6">
        <f>Q37/25</f>
        <v>26.1</v>
      </c>
    </row>
    <row r="38" spans="1:18" x14ac:dyDescent="0.25">
      <c r="A38" s="8" t="s">
        <v>28</v>
      </c>
      <c r="B38" s="8" t="s">
        <v>16</v>
      </c>
      <c r="C38" s="6" t="s">
        <v>17</v>
      </c>
      <c r="D38" s="3">
        <v>8200</v>
      </c>
      <c r="E38" s="3">
        <v>8200</v>
      </c>
      <c r="F38" s="4">
        <f t="shared" si="8"/>
        <v>2.9512857888391011</v>
      </c>
      <c r="H38" s="6" t="s">
        <v>60</v>
      </c>
      <c r="I38" s="10">
        <v>30</v>
      </c>
      <c r="J38" s="10">
        <v>100</v>
      </c>
      <c r="K38" s="6">
        <f t="shared" ref="K38:K41" si="9">J38-I38</f>
        <v>70</v>
      </c>
      <c r="L38" s="6">
        <v>450</v>
      </c>
      <c r="M38" s="6">
        <f t="shared" ref="M38:M41" si="10">K38*L38</f>
        <v>31500</v>
      </c>
      <c r="N38" s="6">
        <v>1.2</v>
      </c>
      <c r="O38" s="6">
        <f t="shared" ref="O38:O41" si="11">M38*N38</f>
        <v>37800</v>
      </c>
      <c r="P38" s="6">
        <v>50</v>
      </c>
      <c r="Q38" s="6">
        <f t="shared" ref="Q38:Q41" si="12">(O38*P38)/1000</f>
        <v>1890</v>
      </c>
      <c r="R38" s="6">
        <f t="shared" ref="R38:R41" si="13">Q38/25</f>
        <v>75.599999999999994</v>
      </c>
    </row>
    <row r="39" spans="1:18" x14ac:dyDescent="0.25">
      <c r="A39" s="8" t="s">
        <v>44</v>
      </c>
      <c r="B39" s="8" t="s">
        <v>17</v>
      </c>
      <c r="C39" s="6" t="s">
        <v>17</v>
      </c>
      <c r="D39" s="6" t="s">
        <v>17</v>
      </c>
      <c r="E39" s="3">
        <f>SUM(E27:E38)</f>
        <v>257571</v>
      </c>
      <c r="F39" s="4">
        <f t="shared" si="8"/>
        <v>92.703125843545862</v>
      </c>
      <c r="H39" s="6" t="s">
        <v>61</v>
      </c>
      <c r="I39" s="10">
        <v>100</v>
      </c>
      <c r="J39" s="10">
        <v>300</v>
      </c>
      <c r="K39" s="6">
        <f t="shared" si="9"/>
        <v>200</v>
      </c>
      <c r="L39" s="6">
        <v>450</v>
      </c>
      <c r="M39" s="6">
        <f t="shared" si="10"/>
        <v>90000</v>
      </c>
      <c r="N39" s="6">
        <v>1.4</v>
      </c>
      <c r="O39" s="6">
        <f t="shared" si="11"/>
        <v>125999.99999999999</v>
      </c>
      <c r="P39" s="6">
        <v>50</v>
      </c>
      <c r="Q39" s="6">
        <f t="shared" si="12"/>
        <v>6299.9999999999991</v>
      </c>
      <c r="R39" s="6">
        <f t="shared" si="13"/>
        <v>251.99999999999997</v>
      </c>
    </row>
    <row r="40" spans="1:18" x14ac:dyDescent="0.25">
      <c r="A40" s="8" t="s">
        <v>9</v>
      </c>
      <c r="B40" s="8" t="s">
        <v>17</v>
      </c>
      <c r="C40" s="6" t="s">
        <v>17</v>
      </c>
      <c r="D40" s="6" t="s">
        <v>17</v>
      </c>
      <c r="E40" s="3">
        <f>H23</f>
        <v>20274</v>
      </c>
      <c r="F40" s="4">
        <f t="shared" si="8"/>
        <v>7.2968741564541384</v>
      </c>
      <c r="H40" s="6" t="s">
        <v>62</v>
      </c>
      <c r="I40" s="10">
        <v>300</v>
      </c>
      <c r="J40" s="10">
        <v>500</v>
      </c>
      <c r="K40" s="6">
        <f t="shared" si="9"/>
        <v>200</v>
      </c>
      <c r="L40" s="6">
        <v>450</v>
      </c>
      <c r="M40" s="6">
        <f t="shared" si="10"/>
        <v>90000</v>
      </c>
      <c r="N40" s="6">
        <v>1.6</v>
      </c>
      <c r="O40" s="6">
        <f t="shared" si="11"/>
        <v>144000</v>
      </c>
      <c r="P40" s="6">
        <v>50</v>
      </c>
      <c r="Q40" s="6">
        <f t="shared" si="12"/>
        <v>7200</v>
      </c>
      <c r="R40" s="6">
        <f t="shared" si="13"/>
        <v>288</v>
      </c>
    </row>
    <row r="41" spans="1:18" x14ac:dyDescent="0.25">
      <c r="A41" s="8" t="s">
        <v>45</v>
      </c>
      <c r="B41" s="8" t="s">
        <v>17</v>
      </c>
      <c r="C41" s="6" t="s">
        <v>17</v>
      </c>
      <c r="D41" s="6" t="s">
        <v>17</v>
      </c>
      <c r="E41" s="3">
        <f>E39+E40</f>
        <v>277845</v>
      </c>
      <c r="F41" s="5">
        <f>SUM(F27:F40)-F39</f>
        <v>100.00000000000001</v>
      </c>
      <c r="H41" s="6" t="s">
        <v>63</v>
      </c>
      <c r="I41" s="10">
        <v>500</v>
      </c>
      <c r="J41" s="10">
        <v>2000</v>
      </c>
      <c r="K41" s="6">
        <f t="shared" si="9"/>
        <v>1500</v>
      </c>
      <c r="L41" s="6">
        <v>450</v>
      </c>
      <c r="M41" s="6">
        <f t="shared" si="10"/>
        <v>675000</v>
      </c>
      <c r="N41" s="6">
        <v>1.8</v>
      </c>
      <c r="O41" s="6">
        <f t="shared" si="11"/>
        <v>1215000</v>
      </c>
      <c r="P41" s="6">
        <v>50</v>
      </c>
      <c r="Q41" s="6">
        <f t="shared" si="12"/>
        <v>60750</v>
      </c>
      <c r="R41" s="6">
        <f t="shared" si="13"/>
        <v>2430</v>
      </c>
    </row>
    <row r="42" spans="1:18" x14ac:dyDescent="0.25">
      <c r="A42" s="8" t="s">
        <v>86</v>
      </c>
      <c r="B42" s="6" t="s">
        <v>17</v>
      </c>
      <c r="C42" s="6" t="s">
        <v>17</v>
      </c>
      <c r="D42" s="6" t="s">
        <v>17</v>
      </c>
      <c r="E42" s="3">
        <f>E41/I30</f>
        <v>6.1743333333333332</v>
      </c>
      <c r="F42" s="6" t="s">
        <v>17</v>
      </c>
      <c r="Q42" s="7">
        <f>SUM(Q37:Q41)/I30</f>
        <v>1.7064999999999999</v>
      </c>
      <c r="R42" s="1"/>
    </row>
    <row r="43" spans="1:18" x14ac:dyDescent="0.25">
      <c r="Q43" s="7"/>
    </row>
    <row r="44" spans="1:18" x14ac:dyDescent="0.25">
      <c r="A44" s="11" t="s">
        <v>88</v>
      </c>
      <c r="B44" s="3">
        <f>E23+E39</f>
        <v>498601</v>
      </c>
      <c r="D44" s="8" t="s">
        <v>87</v>
      </c>
      <c r="E44" s="3">
        <v>8</v>
      </c>
    </row>
    <row r="45" spans="1:18" x14ac:dyDescent="0.25">
      <c r="A45" s="11" t="s">
        <v>89</v>
      </c>
      <c r="B45" s="3">
        <f>I30*E44</f>
        <v>360000</v>
      </c>
      <c r="D45" s="8" t="s">
        <v>112</v>
      </c>
      <c r="E45" s="5">
        <f>E41/E44</f>
        <v>34730.625</v>
      </c>
    </row>
    <row r="46" spans="1:18" x14ac:dyDescent="0.25">
      <c r="A46" s="11" t="s">
        <v>90</v>
      </c>
      <c r="B46" s="3">
        <f>B45-E41</f>
        <v>82155</v>
      </c>
    </row>
    <row r="47" spans="1:18" x14ac:dyDescent="0.25">
      <c r="A47" s="11" t="s">
        <v>91</v>
      </c>
      <c r="B47" s="6">
        <f>B46/12</f>
        <v>6846.25</v>
      </c>
    </row>
    <row r="48" spans="1:18" x14ac:dyDescent="0.25">
      <c r="A48" s="11" t="s">
        <v>92</v>
      </c>
      <c r="B48" s="4">
        <f>(B46/E41)*100</f>
        <v>29.56864438805809</v>
      </c>
    </row>
    <row r="49" spans="1:7" x14ac:dyDescent="0.25">
      <c r="A49" s="11" t="s">
        <v>93</v>
      </c>
      <c r="B49" s="4">
        <f>(B46/B45)*100</f>
        <v>22.820833333333333</v>
      </c>
    </row>
    <row r="51" spans="1:7" x14ac:dyDescent="0.25">
      <c r="A51" s="27" t="s">
        <v>95</v>
      </c>
      <c r="B51" s="28"/>
      <c r="C51" s="28"/>
      <c r="D51" s="28"/>
      <c r="E51" s="28"/>
      <c r="F51" s="28"/>
      <c r="G51" s="29"/>
    </row>
    <row r="52" spans="1:7" x14ac:dyDescent="0.25">
      <c r="A52" s="30" t="s">
        <v>96</v>
      </c>
      <c r="B52" s="27" t="s">
        <v>97</v>
      </c>
      <c r="C52" s="29"/>
      <c r="D52" s="27" t="s">
        <v>98</v>
      </c>
      <c r="E52" s="29"/>
      <c r="F52" s="30" t="s">
        <v>99</v>
      </c>
      <c r="G52" s="30" t="s">
        <v>100</v>
      </c>
    </row>
    <row r="53" spans="1:7" x14ac:dyDescent="0.25">
      <c r="A53" s="31"/>
      <c r="B53" s="11" t="s">
        <v>101</v>
      </c>
      <c r="C53" s="11" t="s">
        <v>102</v>
      </c>
      <c r="D53" s="11" t="s">
        <v>103</v>
      </c>
      <c r="E53" s="11" t="s">
        <v>104</v>
      </c>
      <c r="F53" s="31"/>
      <c r="G53" s="31"/>
    </row>
    <row r="54" spans="1:7" x14ac:dyDescent="0.25">
      <c r="A54" s="11">
        <v>0</v>
      </c>
      <c r="B54" s="17" t="s">
        <v>17</v>
      </c>
      <c r="C54" s="11" t="s">
        <v>17</v>
      </c>
      <c r="D54" s="17">
        <f>E23</f>
        <v>241030</v>
      </c>
      <c r="E54" s="11" t="s">
        <v>17</v>
      </c>
      <c r="F54" s="17">
        <f>-D54</f>
        <v>-241030</v>
      </c>
      <c r="G54" s="17">
        <f>F54</f>
        <v>-241030</v>
      </c>
    </row>
    <row r="55" spans="1:7" x14ac:dyDescent="0.25">
      <c r="A55" s="11">
        <v>1</v>
      </c>
      <c r="B55" s="17">
        <f>B$45</f>
        <v>360000</v>
      </c>
      <c r="C55" s="11" t="s">
        <v>17</v>
      </c>
      <c r="D55" s="11" t="s">
        <v>17</v>
      </c>
      <c r="E55" s="17">
        <f>E$39</f>
        <v>257571</v>
      </c>
      <c r="F55" s="17">
        <f>B55-E55</f>
        <v>102429</v>
      </c>
      <c r="G55" s="17">
        <f>G54+F55</f>
        <v>-138601</v>
      </c>
    </row>
    <row r="56" spans="1:7" x14ac:dyDescent="0.25">
      <c r="A56" s="11">
        <v>2</v>
      </c>
      <c r="B56" s="17">
        <f t="shared" ref="B56:B64" si="14">B$45</f>
        <v>360000</v>
      </c>
      <c r="C56" s="11" t="s">
        <v>17</v>
      </c>
      <c r="D56" s="11" t="s">
        <v>17</v>
      </c>
      <c r="E56" s="17">
        <f t="shared" ref="E56:E64" si="15">E$39</f>
        <v>257571</v>
      </c>
      <c r="F56" s="17">
        <f t="shared" ref="F56:F64" si="16">B56-E56</f>
        <v>102429</v>
      </c>
      <c r="G56" s="17">
        <f t="shared" ref="G56:G64" si="17">G55+F56</f>
        <v>-36172</v>
      </c>
    </row>
    <row r="57" spans="1:7" x14ac:dyDescent="0.25">
      <c r="A57" s="11">
        <v>3</v>
      </c>
      <c r="B57" s="17">
        <f t="shared" si="14"/>
        <v>360000</v>
      </c>
      <c r="C57" s="11" t="s">
        <v>17</v>
      </c>
      <c r="D57" s="11" t="s">
        <v>17</v>
      </c>
      <c r="E57" s="17">
        <f t="shared" si="15"/>
        <v>257571</v>
      </c>
      <c r="F57" s="17">
        <f t="shared" si="16"/>
        <v>102429</v>
      </c>
      <c r="G57" s="17">
        <f t="shared" si="17"/>
        <v>66257</v>
      </c>
    </row>
    <row r="58" spans="1:7" x14ac:dyDescent="0.25">
      <c r="A58" s="11">
        <v>4</v>
      </c>
      <c r="B58" s="17">
        <f t="shared" si="14"/>
        <v>360000</v>
      </c>
      <c r="C58" s="11" t="s">
        <v>17</v>
      </c>
      <c r="D58" s="11" t="s">
        <v>17</v>
      </c>
      <c r="E58" s="17">
        <f t="shared" si="15"/>
        <v>257571</v>
      </c>
      <c r="F58" s="17">
        <f t="shared" si="16"/>
        <v>102429</v>
      </c>
      <c r="G58" s="17">
        <f t="shared" si="17"/>
        <v>168686</v>
      </c>
    </row>
    <row r="59" spans="1:7" x14ac:dyDescent="0.25">
      <c r="A59" s="11">
        <v>5</v>
      </c>
      <c r="B59" s="17">
        <f t="shared" si="14"/>
        <v>360000</v>
      </c>
      <c r="C59" s="11" t="s">
        <v>17</v>
      </c>
      <c r="D59" s="11" t="s">
        <v>17</v>
      </c>
      <c r="E59" s="17">
        <f>E$39+E12+E14+E15+E20+E21</f>
        <v>264681</v>
      </c>
      <c r="F59" s="17">
        <f t="shared" si="16"/>
        <v>95319</v>
      </c>
      <c r="G59" s="17">
        <f t="shared" si="17"/>
        <v>264005</v>
      </c>
    </row>
    <row r="60" spans="1:7" x14ac:dyDescent="0.25">
      <c r="A60" s="11">
        <v>6</v>
      </c>
      <c r="B60" s="17">
        <f t="shared" si="14"/>
        <v>360000</v>
      </c>
      <c r="C60" s="11" t="s">
        <v>17</v>
      </c>
      <c r="D60" s="11" t="s">
        <v>17</v>
      </c>
      <c r="E60" s="17">
        <f t="shared" si="15"/>
        <v>257571</v>
      </c>
      <c r="F60" s="17">
        <f t="shared" si="16"/>
        <v>102429</v>
      </c>
      <c r="G60" s="17">
        <f t="shared" si="17"/>
        <v>366434</v>
      </c>
    </row>
    <row r="61" spans="1:7" x14ac:dyDescent="0.25">
      <c r="A61" s="11">
        <v>7</v>
      </c>
      <c r="B61" s="17">
        <f t="shared" si="14"/>
        <v>360000</v>
      </c>
      <c r="C61" s="11" t="s">
        <v>17</v>
      </c>
      <c r="D61" s="11" t="s">
        <v>17</v>
      </c>
      <c r="E61" s="17">
        <f t="shared" si="15"/>
        <v>257571</v>
      </c>
      <c r="F61" s="17">
        <f t="shared" si="16"/>
        <v>102429</v>
      </c>
      <c r="G61" s="17">
        <f t="shared" si="17"/>
        <v>468863</v>
      </c>
    </row>
    <row r="62" spans="1:7" x14ac:dyDescent="0.25">
      <c r="A62" s="11">
        <v>8</v>
      </c>
      <c r="B62" s="17">
        <f t="shared" si="14"/>
        <v>360000</v>
      </c>
      <c r="C62" s="11" t="s">
        <v>17</v>
      </c>
      <c r="D62" s="11" t="s">
        <v>17</v>
      </c>
      <c r="E62" s="17">
        <f t="shared" si="15"/>
        <v>257571</v>
      </c>
      <c r="F62" s="17">
        <f t="shared" si="16"/>
        <v>102429</v>
      </c>
      <c r="G62" s="17">
        <f t="shared" si="17"/>
        <v>571292</v>
      </c>
    </row>
    <row r="63" spans="1:7" x14ac:dyDescent="0.25">
      <c r="A63" s="11">
        <v>9</v>
      </c>
      <c r="B63" s="17">
        <f t="shared" si="14"/>
        <v>360000</v>
      </c>
      <c r="C63" s="11" t="s">
        <v>17</v>
      </c>
      <c r="D63" s="11" t="s">
        <v>17</v>
      </c>
      <c r="E63" s="17">
        <f t="shared" si="15"/>
        <v>257571</v>
      </c>
      <c r="F63" s="17">
        <f t="shared" si="16"/>
        <v>102429</v>
      </c>
      <c r="G63" s="17">
        <f t="shared" si="17"/>
        <v>673721</v>
      </c>
    </row>
    <row r="64" spans="1:7" x14ac:dyDescent="0.25">
      <c r="A64" s="11">
        <v>10</v>
      </c>
      <c r="B64" s="17">
        <f t="shared" si="14"/>
        <v>360000</v>
      </c>
      <c r="C64" s="11" t="s">
        <v>17</v>
      </c>
      <c r="D64" s="11" t="s">
        <v>17</v>
      </c>
      <c r="E64" s="17">
        <f t="shared" si="15"/>
        <v>257571</v>
      </c>
      <c r="F64" s="17">
        <f t="shared" si="16"/>
        <v>102429</v>
      </c>
      <c r="G64" s="17">
        <f t="shared" si="17"/>
        <v>776150</v>
      </c>
    </row>
    <row r="65" spans="1:7" x14ac:dyDescent="0.25">
      <c r="A65" s="11" t="s">
        <v>31</v>
      </c>
      <c r="B65" s="17">
        <f>SUM(B55:B64)</f>
        <v>3600000</v>
      </c>
      <c r="C65" s="11" t="s">
        <v>17</v>
      </c>
      <c r="D65" s="11" t="s">
        <v>17</v>
      </c>
      <c r="E65" s="17">
        <f>SUM(E55:E64)</f>
        <v>2582820</v>
      </c>
      <c r="F65" s="17" t="s">
        <v>17</v>
      </c>
      <c r="G65" s="17" t="s">
        <v>17</v>
      </c>
    </row>
    <row r="66" spans="1:7" ht="15.75" x14ac:dyDescent="0.25">
      <c r="A66" s="12"/>
      <c r="B66" s="13"/>
      <c r="C66" s="12"/>
      <c r="D66" s="12"/>
      <c r="E66" s="13"/>
      <c r="F66" s="13"/>
      <c r="G66" s="13"/>
    </row>
    <row r="67" spans="1:7" ht="15.75" x14ac:dyDescent="0.25">
      <c r="A67" s="19" t="s">
        <v>105</v>
      </c>
      <c r="B67" s="20">
        <v>0.1</v>
      </c>
      <c r="C67" s="18"/>
      <c r="D67" s="12"/>
      <c r="E67" s="13"/>
      <c r="F67" s="13"/>
      <c r="G67" s="13"/>
    </row>
    <row r="68" spans="1:7" ht="15.75" x14ac:dyDescent="0.25">
      <c r="A68" s="19" t="s">
        <v>106</v>
      </c>
      <c r="B68" s="17">
        <f>NPV(B67,F55:F64)+F54</f>
        <v>383937.11346327409</v>
      </c>
      <c r="C68" s="18"/>
      <c r="D68" s="12"/>
      <c r="E68" s="13"/>
      <c r="F68" s="13"/>
      <c r="G68" s="13"/>
    </row>
    <row r="69" spans="1:7" ht="15.75" x14ac:dyDescent="0.25">
      <c r="A69" s="19" t="s">
        <v>107</v>
      </c>
      <c r="B69" s="20">
        <f>IRR(F54:F64)</f>
        <v>0.40901266303742889</v>
      </c>
      <c r="C69" s="18"/>
      <c r="D69" s="12"/>
      <c r="E69" s="13"/>
      <c r="F69" s="13"/>
      <c r="G69" s="13"/>
    </row>
    <row r="70" spans="1:7" ht="15.75" x14ac:dyDescent="0.25">
      <c r="A70" s="19" t="s">
        <v>108</v>
      </c>
      <c r="B70" s="22">
        <f>(B65/E65)</f>
        <v>1.3938253536831835</v>
      </c>
      <c r="C70" s="18"/>
      <c r="D70" s="12"/>
      <c r="E70" s="13"/>
      <c r="F70" s="13"/>
      <c r="G70" s="13"/>
    </row>
    <row r="71" spans="1:7" ht="15.75" x14ac:dyDescent="0.25">
      <c r="A71" s="21" t="s">
        <v>109</v>
      </c>
      <c r="B71" s="11">
        <f>COUNTIF(G55:G64,"&lt;=0")</f>
        <v>2</v>
      </c>
      <c r="C71" s="23">
        <f>(-G56/F57)*12</f>
        <v>4.237706118384442</v>
      </c>
      <c r="D71" s="12"/>
      <c r="E71" s="13"/>
      <c r="F71" s="13"/>
      <c r="G71" s="13"/>
    </row>
    <row r="72" spans="1:7" ht="15.75" x14ac:dyDescent="0.25">
      <c r="A72" s="18"/>
      <c r="B72" s="11" t="s">
        <v>110</v>
      </c>
      <c r="C72" s="11" t="s">
        <v>111</v>
      </c>
      <c r="D72" s="12"/>
      <c r="E72" s="13"/>
      <c r="F72" s="13"/>
      <c r="G72" s="13"/>
    </row>
    <row r="73" spans="1:7" ht="15.75" x14ac:dyDescent="0.25">
      <c r="A73" s="12"/>
      <c r="B73" s="13"/>
      <c r="C73" s="12"/>
      <c r="D73" s="12"/>
      <c r="E73" s="13"/>
      <c r="F73" s="13"/>
      <c r="G73" s="13"/>
    </row>
    <row r="74" spans="1:7" ht="15.75" x14ac:dyDescent="0.25">
      <c r="A74" s="12"/>
      <c r="B74" s="13"/>
      <c r="C74" s="12"/>
      <c r="D74" s="12"/>
      <c r="E74" s="13"/>
      <c r="F74" s="13"/>
      <c r="G74" s="13"/>
    </row>
    <row r="75" spans="1:7" ht="15.75" x14ac:dyDescent="0.25">
      <c r="A75" s="12"/>
      <c r="B75" s="13"/>
      <c r="C75" s="12"/>
      <c r="D75" s="12"/>
      <c r="E75" s="13"/>
      <c r="F75" s="13"/>
      <c r="G75" s="13"/>
    </row>
    <row r="76" spans="1:7" ht="15.75" x14ac:dyDescent="0.25">
      <c r="A76" s="12"/>
      <c r="B76" s="13"/>
      <c r="C76" s="12"/>
      <c r="D76" s="12"/>
      <c r="E76" s="13"/>
      <c r="F76" s="13"/>
      <c r="G76" s="13"/>
    </row>
    <row r="77" spans="1:7" ht="15.75" x14ac:dyDescent="0.25">
      <c r="A77" s="12"/>
      <c r="B77" s="13"/>
      <c r="C77" s="12"/>
      <c r="D77" s="12"/>
      <c r="E77" s="13"/>
      <c r="F77" s="13"/>
      <c r="G77" s="13"/>
    </row>
    <row r="78" spans="1:7" ht="15.75" x14ac:dyDescent="0.25">
      <c r="A78" s="12"/>
      <c r="B78" s="13"/>
      <c r="C78" s="12"/>
      <c r="D78" s="12"/>
      <c r="E78" s="13"/>
      <c r="F78" s="13"/>
      <c r="G78" s="13"/>
    </row>
    <row r="79" spans="1:7" ht="15.75" x14ac:dyDescent="0.25">
      <c r="A79" s="12"/>
      <c r="B79" s="13"/>
      <c r="C79" s="12"/>
      <c r="D79" s="12"/>
      <c r="E79" s="13"/>
      <c r="F79" s="13"/>
      <c r="G79" s="13"/>
    </row>
    <row r="80" spans="1:7" ht="15.75" x14ac:dyDescent="0.25">
      <c r="A80" s="14"/>
      <c r="B80" s="15"/>
      <c r="C80" s="14"/>
      <c r="D80" s="14"/>
      <c r="E80" s="15"/>
      <c r="F80" s="16"/>
      <c r="G80" s="12"/>
    </row>
  </sheetData>
  <mergeCells count="9">
    <mergeCell ref="A1:H1"/>
    <mergeCell ref="A3:H3"/>
    <mergeCell ref="A25:F25"/>
    <mergeCell ref="A51:G51"/>
    <mergeCell ref="A52:A53"/>
    <mergeCell ref="B52:C52"/>
    <mergeCell ref="D52:E52"/>
    <mergeCell ref="F52:F53"/>
    <mergeCell ref="G52:G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Galileu</dc:creator>
  <cp:lastModifiedBy>Prof. Galileu</cp:lastModifiedBy>
  <dcterms:created xsi:type="dcterms:W3CDTF">2018-04-07T13:05:14Z</dcterms:created>
  <dcterms:modified xsi:type="dcterms:W3CDTF">2018-12-13T19:03:01Z</dcterms:modified>
</cp:coreProperties>
</file>